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<sst xmlns="http://schemas.openxmlformats.org/spreadsheetml/2006/main" count="1235" uniqueCount="291">
  <si>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</si>
  <si>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</si>
  <si>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</si>
  <si>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</si>
  <si>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</si>
  <si>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</si>
  <si>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</si>
  <si>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</si>
  <si>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</si>
  <si>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</si>
  <si>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</si>
  <si>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</si>
  <si>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</si>
  <si>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</si>
  <si>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</si>
  <si>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</si>
  <si>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</si>
  <si>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</si>
  <si>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</si>
  <si>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</si>
  <si>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</si>
  <si>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</si>
  <si>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</si>
  <si>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</si>
  <si>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</si>
  <si>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</si>
  <si>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</si>
  <si>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</si>
  <si>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</si>
  <si>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</si>
  <si>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</si>
  <si>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</si>
  <si>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</si>
  <si>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</si>
  <si>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</si>
  <si>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</si>
  <si>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</si>
  <si>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</si>
  <si>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</si>
  <si>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</si>
  <si>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</si>
  <si>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</si>
  <si>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</si>
  <si>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</si>
  <si>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</si>
  <si>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</si>
  <si>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</si>
  <si>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</si>
  <si>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</si>
  <si>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</si>
  <si>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</si>
  <si>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</si>
  <si>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</si>
  <si>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</si>
  <si>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</si>
  <si>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</si>
  <si>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</si>
  <si>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</si>
  <si>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</si>
  <si>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</si>
  <si>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</si>
  <si>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</si>
  <si>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</si>
  <si>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</si>
  <si>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</si>
  <si>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</si>
  <si>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</si>
  <si>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</si>
  <si>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</si>
  <si>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</si>
  <si>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</si>
  <si>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</si>
  <si>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</si>
  <si>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</si>
  <si>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</si>
  <si>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</si>
  <si>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</si>
  <si>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</si>
  <si>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</si>
  <si>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</si>
  <si>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</si>
  <si>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</si>
  <si>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</si>
  <si>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</si>
  <si>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</si>
  <si>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</si>
  <si>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</si>
  <si>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</si>
  <si>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</si>
  <si>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</si>
  <si>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</si>
  <si>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</si>
  <si>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</si>
  <si>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</si>
  <si>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</si>
  <si>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</si>
  <si>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</si>
  <si>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</si>
  <si>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</si>
  <si>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</si>
  <si>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</si>
  <si>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</si>
  <si>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</si>
  <si>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</si>
  <si>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</si>
  <si>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</si>
  <si>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</si>
  <si>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</si>
  <si>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</si>
  <si>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</si>
  <si>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</si>
  <si>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</si>
  <si>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</si>
  <si>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</si>
  <si>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</si>
  <si>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</si>
  <si>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</si>
  <si>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</si>
  <si>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</si>
  <si>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</si>
  <si>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</si>
  <si>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</si>
  <si>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</si>
  <si>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</si>
  <si>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</si>
  <si>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</si>
  <si>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</si>
  <si>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</si>
  <si>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</si>
  <si>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</si>
  <si>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</si>
  <si>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</si>
  <si>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</si>
  <si>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</si>
  <si>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</si>
  <si>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</si>
  <si>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</si>
  <si>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</si>
  <si>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</si>
  <si>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</si>
  <si>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</si>
  <si>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</si>
  <si>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</si>
  <si>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</si>
  <si>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</si>
  <si>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</si>
  <si>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</si>
  <si>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</si>
  <si>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</si>
  <si>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</si>
  <si>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</si>
  <si>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</si>
  <si>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</si>
  <si>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</si>
  <si>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</si>
  <si>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</si>
  <si>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</si>
  <si>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</si>
  <si>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</si>
  <si>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</si>
  <si>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</si>
  <si>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</si>
  <si>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</si>
  <si>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</si>
  <si>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</si>
  <si>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</si>
  <si>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</si>
  <si>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</si>
  <si>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</si>
  <si>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</si>
  <si>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</si>
  <si>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</si>
  <si>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</si>
  <si>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</si>
  <si>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</si>
  <si>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</si>
  <si>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</si>
  <si>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</si>
  <si>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</si>
  <si>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</si>
  <si>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</si>
  <si>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</si>
  <si>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</si>
  <si>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</si>
  <si>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</si>
  <si>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</si>
  <si>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</si>
  <si>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</si>
  <si>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</si>
  <si>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</si>
  <si>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</si>
  <si>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</si>
  <si>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</si>
  <si>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</si>
  <si>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</si>
  <si>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</si>
  <si>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</si>
  <si>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</si>
  <si>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</si>
  <si>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</si>
  <si>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</si>
  <si>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</si>
  <si>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</si>
  <si>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</si>
  <si>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</si>
  <si>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</si>
  <si>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</si>
  <si>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</si>
  <si>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</si>
  <si>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</si>
  <si>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</si>
  <si>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</si>
  <si>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</si>
  <si>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</si>
  <si>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</si>
  <si>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</si>
  <si>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</si>
  <si>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</si>
  <si>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</si>
  <si>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</si>
  <si>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</si>
  <si>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</si>
  <si>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</si>
  <si>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</si>
  <si>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</si>
  <si>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</si>
  <si>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</si>
  <si>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</si>
  <si>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</si>
  <si>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</si>
  <si>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</si>
  <si>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</si>
  <si>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</si>
  <si>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</si>
  <si>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</si>
  <si>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</si>
  <si>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</si>
  <si>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</si>
  <si>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</si>
  <si>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</si>
  <si>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</si>
  <si>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</si>
  <si>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</si>
  <si>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</si>
  <si>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</si>
  <si>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</si>
  <si>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</si>
  <si>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</si>
  <si>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</si>
  <si>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</si>
  <si>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</si>
  <si>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</si>
  <si>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</si>
  <si>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</si>
  <si>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</si>
  <si>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</si>
  <si>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</si>
  <si>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</si>
  <si>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</si>
  <si>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</si>
  <si>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</si>
  <si>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</si>
  <si>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</si>
  <si>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</si>
  <si>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</si>
  <si>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</si>
  <si>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</si>
  <si>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</si>
  <si>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</si>
  <si>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</si>
  <si>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</si>
  <si>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</si>
  <si>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</si>
  <si>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</si>
  <si>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</si>
  <si>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</si>
  <si>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</si>
  <si>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</si>
  <si>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</si>
  <si>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</si>
  <si>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</si>
  <si>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</si>
  <si>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</si>
  <si>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</si>
  <si>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</si>
  <si>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</si>
  <si>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</si>
  <si>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</si>
  <si>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</si>
  <si>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10.07.2015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</si>
  <si>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09.07.15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</si>
</sst>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1" sqref="I81:I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289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285</v>
      </c>
      <c r="N3" s="218" t="s">
        <v>286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282</v>
      </c>
      <c r="F4" s="223" t="s">
        <v>116</v>
      </c>
      <c r="G4" s="225" t="s">
        <v>283</v>
      </c>
      <c r="H4" s="227" t="s">
        <v>284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290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287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328348.39999999997</v>
      </c>
      <c r="F8" s="18">
        <f>F9+F15+F18+F19+F20+F32+F17</f>
        <v>320546.8</v>
      </c>
      <c r="G8" s="18">
        <f aca="true" t="shared" si="0" ref="G8:G54">F8-E8</f>
        <v>-7801.599999999977</v>
      </c>
      <c r="H8" s="45">
        <f>F8/E8*100</f>
        <v>97.62398720383592</v>
      </c>
      <c r="I8" s="31">
        <f aca="true" t="shared" si="1" ref="I8:I54">F8-D8</f>
        <v>-196882.2</v>
      </c>
      <c r="J8" s="31">
        <f aca="true" t="shared" si="2" ref="J8:J14">F8/D8*100</f>
        <v>61.94991003596628</v>
      </c>
      <c r="K8" s="18">
        <f>K9+K15+K18+K19+K20+K32</f>
        <v>43235.57399999999</v>
      </c>
      <c r="L8" s="18"/>
      <c r="M8" s="18">
        <f>M9+M15+M18+M19+M20+M32+M17</f>
        <v>46752</v>
      </c>
      <c r="N8" s="18">
        <f>N9+N15+N18+N19+N20+N32+N17</f>
        <v>15427.68499999998</v>
      </c>
      <c r="O8" s="31">
        <f aca="true" t="shared" si="3" ref="O8:O54">N8-M8</f>
        <v>-31324.31500000002</v>
      </c>
      <c r="P8" s="31">
        <f>F8/M8*100</f>
        <v>685.6322724161533</v>
      </c>
      <c r="Q8" s="31">
        <f>N8-33748.16</f>
        <v>-18320.475000000024</v>
      </c>
      <c r="R8" s="125">
        <f>N8/33748.16</f>
        <v>0.4571415152707578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183385.52</v>
      </c>
      <c r="G9" s="43">
        <f t="shared" si="0"/>
        <v>-4919.130000000005</v>
      </c>
      <c r="H9" s="35">
        <f aca="true" t="shared" si="4" ref="H9:H32">F9/E9*100</f>
        <v>97.38767470691775</v>
      </c>
      <c r="I9" s="50">
        <f t="shared" si="1"/>
        <v>-129304.48000000001</v>
      </c>
      <c r="J9" s="50">
        <f t="shared" si="2"/>
        <v>58.64770859317534</v>
      </c>
      <c r="K9" s="132">
        <f>F9-217885.62/75*60</f>
        <v>9077.024000000005</v>
      </c>
      <c r="L9" s="132">
        <f>F9/(217885.62/75*60)*100</f>
        <v>105.20744783432703</v>
      </c>
      <c r="M9" s="35">
        <f>E9-червень!E9</f>
        <v>28146</v>
      </c>
      <c r="N9" s="35">
        <f>F9-червень!F9</f>
        <v>12005.799999999988</v>
      </c>
      <c r="O9" s="47">
        <f t="shared" si="3"/>
        <v>-16140.200000000012</v>
      </c>
      <c r="P9" s="50">
        <f aca="true" t="shared" si="5" ref="P9:P32">N9/M9*100</f>
        <v>42.65543949406661</v>
      </c>
      <c r="Q9" s="132">
        <f>N9-26568.11</f>
        <v>-14562.310000000012</v>
      </c>
      <c r="R9" s="133">
        <f>N9/26568.11</f>
        <v>0.45188762015815154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163093.75</v>
      </c>
      <c r="G10" s="135">
        <f t="shared" si="0"/>
        <v>-2136.5</v>
      </c>
      <c r="H10" s="137">
        <f t="shared" si="4"/>
        <v>98.70695589941914</v>
      </c>
      <c r="I10" s="136">
        <f t="shared" si="1"/>
        <v>-77316.25</v>
      </c>
      <c r="J10" s="136">
        <f t="shared" si="2"/>
        <v>67.83983611330643</v>
      </c>
      <c r="K10" s="138">
        <f>F10-193695.6/75*60</f>
        <v>8137.2699999999895</v>
      </c>
      <c r="L10" s="138">
        <f>F10/(193695.6/75*60)*100</f>
        <v>105.2513260497399</v>
      </c>
      <c r="M10" s="35">
        <f>E10-червень!E10</f>
        <v>23736</v>
      </c>
      <c r="N10" s="35">
        <f>F10-червень!F10</f>
        <v>10866.850000000006</v>
      </c>
      <c r="O10" s="138">
        <f t="shared" si="3"/>
        <v>-12869.149999999994</v>
      </c>
      <c r="P10" s="136">
        <f t="shared" si="5"/>
        <v>45.78214526457704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9231.96</v>
      </c>
      <c r="G11" s="135">
        <f t="shared" si="0"/>
        <v>-3476.040000000001</v>
      </c>
      <c r="H11" s="137">
        <f t="shared" si="4"/>
        <v>72.64683663833806</v>
      </c>
      <c r="I11" s="136">
        <f t="shared" si="1"/>
        <v>-14468.04</v>
      </c>
      <c r="J11" s="136">
        <f t="shared" si="2"/>
        <v>38.95341772151898</v>
      </c>
      <c r="K11" s="138">
        <f>F11-13818.75/75*60</f>
        <v>-1823.0400000000009</v>
      </c>
      <c r="L11" s="138">
        <f>F11/(13818.75/75*60)*100</f>
        <v>83.50936227951152</v>
      </c>
      <c r="M11" s="35">
        <f>E11-червень!E11</f>
        <v>1920</v>
      </c>
      <c r="N11" s="35">
        <f>F11-червень!F11</f>
        <v>18.859999999998763</v>
      </c>
      <c r="O11" s="138">
        <f t="shared" si="3"/>
        <v>-1901.1400000000012</v>
      </c>
      <c r="P11" s="136">
        <f t="shared" si="5"/>
        <v>0.9822916666666022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2767.91</v>
      </c>
      <c r="G12" s="135">
        <f t="shared" si="0"/>
        <v>-61.090000000000146</v>
      </c>
      <c r="H12" s="137">
        <f t="shared" si="4"/>
        <v>97.84057971014492</v>
      </c>
      <c r="I12" s="136">
        <f t="shared" si="1"/>
        <v>-3032.09</v>
      </c>
      <c r="J12" s="136">
        <f t="shared" si="2"/>
        <v>47.72258620689655</v>
      </c>
      <c r="K12" s="138">
        <f>F12-4382.58/75*60</f>
        <v>-738.154</v>
      </c>
      <c r="L12" s="138">
        <f>F12/(4382.58*60)*100</f>
        <v>1.0526181685977969</v>
      </c>
      <c r="M12" s="35">
        <f>E12-червень!E12</f>
        <v>330</v>
      </c>
      <c r="N12" s="35">
        <f>F12-червень!F12</f>
        <v>175.37999999999965</v>
      </c>
      <c r="O12" s="138">
        <f t="shared" si="3"/>
        <v>-154.62000000000035</v>
      </c>
      <c r="P12" s="136">
        <f t="shared" si="5"/>
        <v>53.14545454545444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3092.31</v>
      </c>
      <c r="G13" s="135">
        <f t="shared" si="0"/>
        <v>-2021.0899999999997</v>
      </c>
      <c r="H13" s="137">
        <f t="shared" si="4"/>
        <v>60.474635272030355</v>
      </c>
      <c r="I13" s="136">
        <f t="shared" si="1"/>
        <v>-5307.6900000000005</v>
      </c>
      <c r="J13" s="136">
        <f t="shared" si="2"/>
        <v>36.81321428571429</v>
      </c>
      <c r="K13" s="138">
        <f>F13-5960.54/75*60</f>
        <v>-1676.1219999999998</v>
      </c>
      <c r="L13" s="138">
        <f>F13/(5960.54/75*60)*100</f>
        <v>64.84961932979228</v>
      </c>
      <c r="M13" s="35">
        <f>E13-червень!E13</f>
        <v>1769.9999999999995</v>
      </c>
      <c r="N13" s="35">
        <f>F13-червень!F13</f>
        <v>308.9000000000001</v>
      </c>
      <c r="O13" s="138">
        <f t="shared" si="3"/>
        <v>-1461.0999999999995</v>
      </c>
      <c r="P13" s="136">
        <f t="shared" si="5"/>
        <v>17.45197740112995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5199.59</v>
      </c>
      <c r="G14" s="135">
        <f t="shared" si="0"/>
        <v>2775.59</v>
      </c>
      <c r="H14" s="137">
        <f t="shared" si="4"/>
        <v>214.5045379537954</v>
      </c>
      <c r="I14" s="136">
        <f t="shared" si="1"/>
        <v>819.5900000000001</v>
      </c>
      <c r="J14" s="136">
        <f t="shared" si="2"/>
        <v>118.71210045662102</v>
      </c>
      <c r="K14" s="138">
        <f>F14-28.15/75*60</f>
        <v>5177.07</v>
      </c>
      <c r="L14" s="138">
        <f>F14/(28.15/75*60)*100</f>
        <v>23088.76554174068</v>
      </c>
      <c r="M14" s="35">
        <f>E14-червень!E14</f>
        <v>390</v>
      </c>
      <c r="N14" s="35">
        <f>F14-червень!F14</f>
        <v>635.8199999999997</v>
      </c>
      <c r="O14" s="138">
        <f t="shared" si="3"/>
        <v>245.8199999999997</v>
      </c>
      <c r="P14" s="136">
        <f t="shared" si="5"/>
        <v>163.03076923076915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-855.72</v>
      </c>
      <c r="G15" s="43">
        <f t="shared" si="0"/>
        <v>-1027.02</v>
      </c>
      <c r="H15" s="35"/>
      <c r="I15" s="50">
        <f t="shared" si="1"/>
        <v>-1355.72</v>
      </c>
      <c r="J15" s="50">
        <f>F15/D15*100</f>
        <v>-171.144</v>
      </c>
      <c r="K15" s="53">
        <f>F15-349.38</f>
        <v>-1205.1</v>
      </c>
      <c r="L15" s="53">
        <f>F15/349.38*100</f>
        <v>-244.92529623905205</v>
      </c>
      <c r="M15" s="35">
        <f>E15-червень!E15</f>
        <v>0</v>
      </c>
      <c r="N15" s="35">
        <f>F15-червень!F15</f>
        <v>2.419999999999959</v>
      </c>
      <c r="O15" s="47">
        <f t="shared" si="3"/>
        <v>2.419999999999959</v>
      </c>
      <c r="P15" s="50"/>
      <c r="Q15" s="50">
        <f>N15-358.81</f>
        <v>-356.39000000000004</v>
      </c>
      <c r="R15" s="126">
        <f>N15/358.81</f>
        <v>0.006744516596527296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F16-850.64</f>
        <v>-2203.74</v>
      </c>
      <c r="L16" s="138">
        <f>F16/850.64*100</f>
        <v>-159.06846609611586</v>
      </c>
      <c r="M16" s="35">
        <f>E16-червень!E16</f>
        <v>0</v>
      </c>
      <c r="N16" s="35">
        <f>F16-червень!F16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26222.75</v>
      </c>
      <c r="F19" s="168">
        <v>30145.01</v>
      </c>
      <c r="G19" s="43">
        <f t="shared" si="0"/>
        <v>3922.2599999999984</v>
      </c>
      <c r="H19" s="35">
        <f t="shared" si="4"/>
        <v>114.95747013566464</v>
      </c>
      <c r="I19" s="50">
        <f t="shared" si="1"/>
        <v>195.0099999999984</v>
      </c>
      <c r="J19" s="178">
        <f>F19/D19*100</f>
        <v>100.6511185308848</v>
      </c>
      <c r="K19" s="179">
        <f>F19-0</f>
        <v>30145.01</v>
      </c>
      <c r="L19" s="180"/>
      <c r="M19" s="35">
        <f>E19-червень!E19</f>
        <v>2720</v>
      </c>
      <c r="N19" s="35">
        <f>F19-червень!F19</f>
        <v>28.51599999999962</v>
      </c>
      <c r="O19" s="47">
        <f t="shared" si="3"/>
        <v>-2691.4840000000004</v>
      </c>
      <c r="P19" s="50">
        <f t="shared" si="5"/>
        <v>1.0483823529411624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109634.7</v>
      </c>
      <c r="F20" s="169">
        <f>F21+F25+F27+F26</f>
        <v>103834.72</v>
      </c>
      <c r="G20" s="43">
        <f t="shared" si="0"/>
        <v>-5799.979999999996</v>
      </c>
      <c r="H20" s="35">
        <f t="shared" si="4"/>
        <v>94.70972237804273</v>
      </c>
      <c r="I20" s="50">
        <f t="shared" si="1"/>
        <v>-62935.28</v>
      </c>
      <c r="J20" s="178">
        <f aca="true" t="shared" si="6" ref="J20:J46">F20/D20*100</f>
        <v>62.262229417760985</v>
      </c>
      <c r="K20" s="178">
        <f>K21+K25+K26+K27</f>
        <v>6492.839999999992</v>
      </c>
      <c r="L20" s="136"/>
      <c r="M20" s="35">
        <f>E20-червень!E20</f>
        <v>15878.800000000003</v>
      </c>
      <c r="N20" s="35">
        <f>F20-червень!F20</f>
        <v>3390.3689999999915</v>
      </c>
      <c r="O20" s="47">
        <f t="shared" si="3"/>
        <v>-12488.431000000011</v>
      </c>
      <c r="P20" s="50">
        <f t="shared" si="5"/>
        <v>21.351544197294448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57678.2</v>
      </c>
      <c r="F21" s="169">
        <f>F22+F23+F24</f>
        <v>56059.340000000004</v>
      </c>
      <c r="G21" s="43">
        <f t="shared" si="0"/>
        <v>-1618.8599999999933</v>
      </c>
      <c r="H21" s="35">
        <f t="shared" si="4"/>
        <v>97.19328966576629</v>
      </c>
      <c r="I21" s="50">
        <f t="shared" si="1"/>
        <v>-42140.659999999996</v>
      </c>
      <c r="J21" s="178">
        <f t="shared" si="6"/>
        <v>57.08690427698575</v>
      </c>
      <c r="K21" s="178">
        <f>K22+K23+K24</f>
        <v>8698.079999999998</v>
      </c>
      <c r="L21" s="136"/>
      <c r="M21" s="35">
        <f>E21-червень!E21</f>
        <v>9321</v>
      </c>
      <c r="N21" s="35">
        <f>F21-червень!F21</f>
        <v>1302.0239999999976</v>
      </c>
      <c r="O21" s="47">
        <f t="shared" si="3"/>
        <v>-8018.976000000002</v>
      </c>
      <c r="P21" s="50">
        <f t="shared" si="5"/>
        <v>13.9687158030254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579.2</v>
      </c>
      <c r="F22" s="144">
        <v>5200.17</v>
      </c>
      <c r="G22" s="135">
        <f t="shared" si="0"/>
        <v>4620.97</v>
      </c>
      <c r="H22" s="137">
        <f t="shared" si="4"/>
        <v>897.819406077348</v>
      </c>
      <c r="I22" s="136">
        <f t="shared" si="1"/>
        <v>4200.17</v>
      </c>
      <c r="J22" s="136">
        <f t="shared" si="6"/>
        <v>520.017</v>
      </c>
      <c r="K22" s="136">
        <f>F22-259.1</f>
        <v>4941.07</v>
      </c>
      <c r="L22" s="136">
        <f>F22/259.1*100</f>
        <v>2007.0127363952138</v>
      </c>
      <c r="M22" s="35">
        <f>E22-червень!E22</f>
        <v>213.00000000000006</v>
      </c>
      <c r="N22" s="35">
        <f>F22-червень!F22</f>
        <v>243.067</v>
      </c>
      <c r="O22" s="138">
        <f t="shared" si="3"/>
        <v>30.06699999999995</v>
      </c>
      <c r="P22" s="136">
        <f t="shared" si="5"/>
        <v>114.11596244131452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550</v>
      </c>
      <c r="F23" s="144">
        <v>351.95</v>
      </c>
      <c r="G23" s="135">
        <f t="shared" si="0"/>
        <v>-198.05</v>
      </c>
      <c r="H23" s="137"/>
      <c r="I23" s="136">
        <f t="shared" si="1"/>
        <v>-1148.05</v>
      </c>
      <c r="J23" s="136">
        <f t="shared" si="6"/>
        <v>23.463333333333335</v>
      </c>
      <c r="K23" s="136">
        <f>F23-0</f>
        <v>351.95</v>
      </c>
      <c r="L23" s="136"/>
      <c r="M23" s="35">
        <f>E23-червень!E23</f>
        <v>300</v>
      </c>
      <c r="N23" s="35">
        <f>F23-червень!F23</f>
        <v>141.26999999999998</v>
      </c>
      <c r="O23" s="138">
        <f t="shared" si="3"/>
        <v>-158.73000000000002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56549</v>
      </c>
      <c r="F24" s="144">
        <v>50507.22</v>
      </c>
      <c r="G24" s="135">
        <f t="shared" si="0"/>
        <v>-6041.779999999999</v>
      </c>
      <c r="H24" s="137">
        <f t="shared" si="4"/>
        <v>89.31584997082177</v>
      </c>
      <c r="I24" s="136">
        <f t="shared" si="1"/>
        <v>-45192.78</v>
      </c>
      <c r="J24" s="136">
        <f t="shared" si="6"/>
        <v>52.77661442006269</v>
      </c>
      <c r="K24" s="139">
        <f>F24-47102.16</f>
        <v>3405.0599999999977</v>
      </c>
      <c r="L24" s="139">
        <f>F24/47102.16*100</f>
        <v>107.22909522620618</v>
      </c>
      <c r="M24" s="35">
        <f>E24-червень!E24</f>
        <v>8808</v>
      </c>
      <c r="N24" s="35">
        <f>F24-червень!F24</f>
        <v>917.6869999999981</v>
      </c>
      <c r="O24" s="138">
        <f t="shared" si="3"/>
        <v>-7890.313000000002</v>
      </c>
      <c r="P24" s="136">
        <f t="shared" si="5"/>
        <v>10.418789736603067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37.42</v>
      </c>
      <c r="G25" s="43">
        <f t="shared" si="0"/>
        <v>7.420000000000002</v>
      </c>
      <c r="H25" s="35">
        <f t="shared" si="4"/>
        <v>124.73333333333333</v>
      </c>
      <c r="I25" s="50">
        <f t="shared" si="1"/>
        <v>-32.58</v>
      </c>
      <c r="J25" s="178">
        <f t="shared" si="6"/>
        <v>53.457142857142856</v>
      </c>
      <c r="K25" s="178">
        <f>F25-34</f>
        <v>3.4200000000000017</v>
      </c>
      <c r="L25" s="178">
        <f>F25/34*100</f>
        <v>110.05882352941177</v>
      </c>
      <c r="M25" s="35">
        <f>E25-червень!E25</f>
        <v>7.800000000000001</v>
      </c>
      <c r="N25" s="35">
        <f>F25-червень!F25</f>
        <v>-0.003999999999997783</v>
      </c>
      <c r="O25" s="47">
        <f t="shared" si="3"/>
        <v>-7.8039999999999985</v>
      </c>
      <c r="P25" s="50">
        <f t="shared" si="5"/>
        <v>-0.05128205128202285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-421.38</v>
      </c>
      <c r="G26" s="43">
        <f t="shared" si="0"/>
        <v>-421.38</v>
      </c>
      <c r="H26" s="35"/>
      <c r="I26" s="50">
        <f t="shared" si="1"/>
        <v>-421.38</v>
      </c>
      <c r="J26" s="136"/>
      <c r="K26" s="178">
        <f>F26-3736.89</f>
        <v>-4158.2699999999995</v>
      </c>
      <c r="L26" s="178">
        <f>F26/3736.89*100</f>
        <v>-11.276221670961682</v>
      </c>
      <c r="M26" s="35">
        <f>E26-червень!E26</f>
        <v>0</v>
      </c>
      <c r="N26" s="35">
        <f>F26-червень!F26</f>
        <v>-18.021000000000015</v>
      </c>
      <c r="O26" s="47">
        <f t="shared" si="3"/>
        <v>-18.021000000000015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51926.5</v>
      </c>
      <c r="F27" s="168">
        <v>48159.34</v>
      </c>
      <c r="G27" s="43">
        <f t="shared" si="0"/>
        <v>-3767.1600000000035</v>
      </c>
      <c r="H27" s="35">
        <f t="shared" si="4"/>
        <v>92.74520716782374</v>
      </c>
      <c r="I27" s="50">
        <f t="shared" si="1"/>
        <v>-20340.660000000003</v>
      </c>
      <c r="J27" s="178">
        <f t="shared" si="6"/>
        <v>70.30560583941605</v>
      </c>
      <c r="K27" s="132">
        <f>F27-46209.73</f>
        <v>1949.6099999999933</v>
      </c>
      <c r="L27" s="132">
        <f>F27/46209.73*100</f>
        <v>104.21904650817044</v>
      </c>
      <c r="M27" s="35">
        <f>E27-червень!E27</f>
        <v>6550</v>
      </c>
      <c r="N27" s="35">
        <f>F27-червень!F27</f>
        <v>2106.3699999999953</v>
      </c>
      <c r="O27" s="47">
        <f t="shared" si="3"/>
        <v>-4443.630000000005</v>
      </c>
      <c r="P27" s="50">
        <f t="shared" si="5"/>
        <v>32.15832061068695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11889.95</v>
      </c>
      <c r="G29" s="135">
        <f t="shared" si="0"/>
        <v>-350.0499999999993</v>
      </c>
      <c r="H29" s="137">
        <f t="shared" si="4"/>
        <v>97.14011437908498</v>
      </c>
      <c r="I29" s="136">
        <f t="shared" si="1"/>
        <v>-4610.049999999999</v>
      </c>
      <c r="J29" s="136">
        <f t="shared" si="6"/>
        <v>72.06030303030303</v>
      </c>
      <c r="K29" s="139">
        <f>F29-12569.54</f>
        <v>-679.5900000000001</v>
      </c>
      <c r="L29" s="139">
        <f>F29/12569.54*100</f>
        <v>94.59335822949765</v>
      </c>
      <c r="M29" s="35">
        <f>E29-червень!E29</f>
        <v>1200</v>
      </c>
      <c r="N29" s="35">
        <f>F29-червень!F29</f>
        <v>466.7900000000009</v>
      </c>
      <c r="O29" s="138">
        <f t="shared" si="3"/>
        <v>-733.2099999999991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36262</v>
      </c>
      <c r="G30" s="135">
        <f t="shared" si="0"/>
        <v>-3424.5</v>
      </c>
      <c r="H30" s="137">
        <f t="shared" si="4"/>
        <v>91.37112116210803</v>
      </c>
      <c r="I30" s="136">
        <f t="shared" si="1"/>
        <v>-15738</v>
      </c>
      <c r="J30" s="136">
        <f t="shared" si="6"/>
        <v>69.73461538461538</v>
      </c>
      <c r="K30" s="139">
        <f>F30-33639.82</f>
        <v>2622.1800000000003</v>
      </c>
      <c r="L30" s="139">
        <f>F30/33639.82*100</f>
        <v>107.79486929478219</v>
      </c>
      <c r="M30" s="35">
        <f>E30-червень!E30</f>
        <v>5350</v>
      </c>
      <c r="N30" s="35">
        <f>F30-червень!F30</f>
        <v>1639.1500000000015</v>
      </c>
      <c r="O30" s="138">
        <f t="shared" si="3"/>
        <v>-3710.8499999999985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8.59</v>
      </c>
      <c r="G31" s="135">
        <f t="shared" si="0"/>
        <v>8.59</v>
      </c>
      <c r="H31" s="137"/>
      <c r="I31" s="136">
        <f t="shared" si="1"/>
        <v>8.59</v>
      </c>
      <c r="J31" s="136"/>
      <c r="K31" s="139">
        <f>F31-0</f>
        <v>8.59</v>
      </c>
      <c r="L31" s="139"/>
      <c r="M31" s="35">
        <f>E31-червень!E31</f>
        <v>0</v>
      </c>
      <c r="N31" s="35">
        <f>F31-червень!F31</f>
        <v>0.41999999999999993</v>
      </c>
      <c r="O31" s="138">
        <f t="shared" si="3"/>
        <v>0.41999999999999993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4021.38</v>
      </c>
      <c r="G32" s="43">
        <f t="shared" si="0"/>
        <v>19.38000000000011</v>
      </c>
      <c r="H32" s="35">
        <f t="shared" si="4"/>
        <v>100.48425787106447</v>
      </c>
      <c r="I32" s="50">
        <f t="shared" si="1"/>
        <v>-3478.62</v>
      </c>
      <c r="J32" s="178">
        <f t="shared" si="6"/>
        <v>53.6184</v>
      </c>
      <c r="K32" s="178">
        <f>F32-5308.17</f>
        <v>-1286.79</v>
      </c>
      <c r="L32" s="178">
        <f>F32/5308.17*100</f>
        <v>75.7583121866858</v>
      </c>
      <c r="M32" s="35">
        <f>E32-червень!E32</f>
        <v>7.199999999999818</v>
      </c>
      <c r="N32" s="35">
        <f>F32-червень!F32</f>
        <v>0.5799999999999272</v>
      </c>
      <c r="O32" s="47">
        <f t="shared" si="3"/>
        <v>-6.619999999999891</v>
      </c>
      <c r="P32" s="50">
        <f t="shared" si="5"/>
        <v>8.055555555554749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7175</v>
      </c>
      <c r="F33" s="18">
        <f>F34+F35+F36+F37+F38+F41+F42+F47+F48+F52+F40+F39</f>
        <v>17361.780000000002</v>
      </c>
      <c r="G33" s="44">
        <f t="shared" si="0"/>
        <v>10186.780000000002</v>
      </c>
      <c r="H33" s="45">
        <f>F33/E33*100</f>
        <v>241.9760278745645</v>
      </c>
      <c r="I33" s="31">
        <f t="shared" si="1"/>
        <v>4794.680000000002</v>
      </c>
      <c r="J33" s="31">
        <f t="shared" si="6"/>
        <v>138.1526366464817</v>
      </c>
      <c r="K33" s="18">
        <f>K34+K35+K36+K37+K38+K41+K42+K47+K48+K52+K40</f>
        <v>9919.380000000001</v>
      </c>
      <c r="L33" s="18"/>
      <c r="M33" s="18">
        <f>M34+M35+M36+M37+M38+M41+M42+M47+M48+M52+M40+M39</f>
        <v>1057.5</v>
      </c>
      <c r="N33" s="18">
        <f>N34+N35+N36+N37+N38+N41+N42+N47+N48+N52+N40+N39</f>
        <v>1488.7800000000009</v>
      </c>
      <c r="O33" s="49">
        <f t="shared" si="3"/>
        <v>431.2800000000009</v>
      </c>
      <c r="P33" s="31">
        <f>N33/M33*100</f>
        <v>140.78297872340434</v>
      </c>
      <c r="Q33" s="31">
        <f>N33-1017.63</f>
        <v>471.1500000000009</v>
      </c>
      <c r="R33" s="127">
        <f>N33/1017.63</f>
        <v>1.4629875298487671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105</v>
      </c>
      <c r="F34" s="143">
        <v>100.4</v>
      </c>
      <c r="G34" s="43">
        <f t="shared" si="0"/>
        <v>-4.599999999999994</v>
      </c>
      <c r="H34" s="35">
        <f>F34/E34*100</f>
        <v>95.61904761904762</v>
      </c>
      <c r="I34" s="50">
        <f t="shared" si="1"/>
        <v>-99.6</v>
      </c>
      <c r="J34" s="50">
        <f t="shared" si="6"/>
        <v>50.2</v>
      </c>
      <c r="K34" s="50">
        <f>F34-106.29</f>
        <v>-5.890000000000001</v>
      </c>
      <c r="L34" s="50">
        <f>F34/106.29*100</f>
        <v>94.45855677862451</v>
      </c>
      <c r="M34" s="35">
        <f>E34-червень!E34</f>
        <v>10</v>
      </c>
      <c r="N34" s="35">
        <f>F34-червень!F34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E36-червень!E36</f>
        <v>0</v>
      </c>
      <c r="N36" s="35">
        <f>F36-червень!F36</f>
        <v>0</v>
      </c>
      <c r="O36" s="47">
        <f t="shared" si="3"/>
        <v>0</v>
      </c>
      <c r="P36" s="50"/>
      <c r="Q36" s="50">
        <f>N36-4.23</f>
        <v>-4.23</v>
      </c>
      <c r="R36" s="126">
        <f>N36/4.23</f>
        <v>0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82.11</v>
      </c>
      <c r="G38" s="43">
        <f t="shared" si="0"/>
        <v>2.1099999999999994</v>
      </c>
      <c r="H38" s="35">
        <f>F38/E38*100</f>
        <v>102.6375</v>
      </c>
      <c r="I38" s="50">
        <f t="shared" si="1"/>
        <v>-57.89</v>
      </c>
      <c r="J38" s="50">
        <f t="shared" si="6"/>
        <v>58.650000000000006</v>
      </c>
      <c r="K38" s="50">
        <f>F38-78.24</f>
        <v>3.8700000000000045</v>
      </c>
      <c r="L38" s="50">
        <f>F38/78.24*100</f>
        <v>104.94631901840492</v>
      </c>
      <c r="M38" s="35">
        <f>E38-червень!E38</f>
        <v>15</v>
      </c>
      <c r="N38" s="35">
        <f>F38-червень!F38</f>
        <v>0.4899999999999949</v>
      </c>
      <c r="O38" s="47">
        <f t="shared" si="3"/>
        <v>-14.510000000000005</v>
      </c>
      <c r="P38" s="50">
        <f>N38/M38*100</f>
        <v>3.2666666666666324</v>
      </c>
      <c r="Q38" s="50">
        <f>N38-9.02</f>
        <v>-8.530000000000005</v>
      </c>
      <c r="R38" s="126">
        <f>N38/9.02</f>
        <v>0.05432372505543181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5182.85</v>
      </c>
      <c r="G40" s="43"/>
      <c r="H40" s="35"/>
      <c r="I40" s="50">
        <f t="shared" si="1"/>
        <v>5182.85</v>
      </c>
      <c r="J40" s="50"/>
      <c r="K40" s="50">
        <f>F40-0</f>
        <v>5182.85</v>
      </c>
      <c r="L40" s="50"/>
      <c r="M40" s="35">
        <f>E40-червень!E40</f>
        <v>0</v>
      </c>
      <c r="N40" s="35">
        <f>F40-червень!F40</f>
        <v>255.25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5141.68</v>
      </c>
      <c r="G41" s="43">
        <f t="shared" si="0"/>
        <v>1071.6800000000003</v>
      </c>
      <c r="H41" s="35">
        <f>F41/E41*100</f>
        <v>126.33120393120394</v>
      </c>
      <c r="I41" s="50">
        <f t="shared" si="1"/>
        <v>-1758.3199999999997</v>
      </c>
      <c r="J41" s="50">
        <f t="shared" si="6"/>
        <v>74.51710144927537</v>
      </c>
      <c r="K41" s="50">
        <f>F41-4143.38</f>
        <v>998.3000000000002</v>
      </c>
      <c r="L41" s="50">
        <f>F41/4143.38*100</f>
        <v>124.09385574096513</v>
      </c>
      <c r="M41" s="35">
        <f>E41-червень!E41</f>
        <v>550</v>
      </c>
      <c r="N41" s="35">
        <f>F41-червень!F41</f>
        <v>838.9700000000003</v>
      </c>
      <c r="O41" s="47">
        <f t="shared" si="3"/>
        <v>288.97000000000025</v>
      </c>
      <c r="P41" s="50">
        <f>N41/M41*100</f>
        <v>152.54000000000005</v>
      </c>
      <c r="Q41" s="50">
        <f>N41-647.49</f>
        <v>191.48000000000025</v>
      </c>
      <c r="R41" s="126">
        <f>N41/647.49</f>
        <v>1.2957265749277984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562</v>
      </c>
      <c r="F42" s="143">
        <v>4241.68</v>
      </c>
      <c r="G42" s="43">
        <f t="shared" si="0"/>
        <v>3679.6800000000003</v>
      </c>
      <c r="H42" s="35">
        <f>F42/E42*100</f>
        <v>754.7473309608541</v>
      </c>
      <c r="I42" s="50">
        <f t="shared" si="1"/>
        <v>3141.6800000000003</v>
      </c>
      <c r="J42" s="50">
        <f t="shared" si="6"/>
        <v>385.60727272727274</v>
      </c>
      <c r="K42" s="50">
        <f>F42-531.41</f>
        <v>3710.2700000000004</v>
      </c>
      <c r="L42" s="50">
        <f>F42/531.41*100</f>
        <v>798.1934852562052</v>
      </c>
      <c r="M42" s="35">
        <f>E42-червень!E42</f>
        <v>112</v>
      </c>
      <c r="N42" s="35">
        <f>F42-червень!F42</f>
        <v>208.4400000000005</v>
      </c>
      <c r="O42" s="47">
        <f t="shared" si="3"/>
        <v>96.44000000000051</v>
      </c>
      <c r="P42" s="50">
        <f>N42/M42*100</f>
        <v>186.10714285714332</v>
      </c>
      <c r="Q42" s="50">
        <f>N42-79.51</f>
        <v>128.93000000000052</v>
      </c>
      <c r="R42" s="126">
        <f>N42/79.51</f>
        <v>2.621557036850717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617.28</v>
      </c>
      <c r="G43" s="135">
        <f t="shared" si="0"/>
        <v>127.27999999999997</v>
      </c>
      <c r="H43" s="137">
        <f>F43/E43*100</f>
        <v>125.97551020408162</v>
      </c>
      <c r="I43" s="136">
        <f t="shared" si="1"/>
        <v>-352.72</v>
      </c>
      <c r="J43" s="136">
        <f t="shared" si="6"/>
        <v>63.63711340206185</v>
      </c>
      <c r="K43" s="136">
        <f>F43-359.18</f>
        <v>258.09999999999997</v>
      </c>
      <c r="L43" s="136">
        <f>F43/359.18*100</f>
        <v>171.85812127624033</v>
      </c>
      <c r="M43" s="35">
        <f>E43-червень!E43</f>
        <v>100</v>
      </c>
      <c r="N43" s="35">
        <f>F43-червень!F43</f>
        <v>34.539999999999964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45.39</v>
      </c>
      <c r="G44" s="135">
        <f t="shared" si="0"/>
        <v>45.39</v>
      </c>
      <c r="H44" s="137"/>
      <c r="I44" s="136">
        <f t="shared" si="1"/>
        <v>45.39</v>
      </c>
      <c r="J44" s="136"/>
      <c r="K44" s="136">
        <f>F44-0</f>
        <v>45.39</v>
      </c>
      <c r="L44" s="136"/>
      <c r="M44" s="35">
        <f>E44-червень!E44</f>
        <v>0</v>
      </c>
      <c r="N44" s="35">
        <f>F44-червень!F44</f>
        <v>0.240000000000002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3578.26</v>
      </c>
      <c r="G46" s="135">
        <f t="shared" si="0"/>
        <v>3506.26</v>
      </c>
      <c r="H46" s="137">
        <f>F46/E46*100</f>
        <v>4969.805555555556</v>
      </c>
      <c r="I46" s="136">
        <f t="shared" si="1"/>
        <v>3448.26</v>
      </c>
      <c r="J46" s="136">
        <f t="shared" si="6"/>
        <v>2752.507692307692</v>
      </c>
      <c r="K46" s="136">
        <f>F46-56.15</f>
        <v>3522.11</v>
      </c>
      <c r="L46" s="136">
        <f>F46/56.15*100</f>
        <v>6372.6803205699025</v>
      </c>
      <c r="M46" s="35">
        <f>E46-червень!E46</f>
        <v>-8</v>
      </c>
      <c r="N46" s="35">
        <f>F46-червень!F46</f>
        <v>173.6600000000003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2421.28</v>
      </c>
      <c r="G48" s="43">
        <f t="shared" si="0"/>
        <v>71.2800000000002</v>
      </c>
      <c r="H48" s="35">
        <f>F48/E48*100</f>
        <v>103.03319148936171</v>
      </c>
      <c r="I48" s="50">
        <f t="shared" si="1"/>
        <v>-1778.7199999999998</v>
      </c>
      <c r="J48" s="50">
        <f>F48/D48*100</f>
        <v>57.649523809523814</v>
      </c>
      <c r="K48" s="50">
        <f>F48-2346.09</f>
        <v>75.19000000000005</v>
      </c>
      <c r="L48" s="50">
        <f>F48/2346.09*100</f>
        <v>103.20490688763006</v>
      </c>
      <c r="M48" s="35">
        <f>E48-червень!E48</f>
        <v>370</v>
      </c>
      <c r="N48" s="35">
        <f>F48-червень!F48</f>
        <v>185.1300000000001</v>
      </c>
      <c r="O48" s="47">
        <f t="shared" si="3"/>
        <v>-184.8699999999999</v>
      </c>
      <c r="P48" s="50">
        <f aca="true" t="shared" si="7" ref="P48:P53">N48/M48*100</f>
        <v>50.035135135135164</v>
      </c>
      <c r="Q48" s="50">
        <f>N48-277.38</f>
        <v>-92.24999999999989</v>
      </c>
      <c r="R48" s="126">
        <f>N48/277.38</f>
        <v>0.667423750811162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624</v>
      </c>
      <c r="G51" s="135">
        <f t="shared" si="0"/>
        <v>624</v>
      </c>
      <c r="H51" s="137"/>
      <c r="I51" s="136">
        <f t="shared" si="1"/>
        <v>624</v>
      </c>
      <c r="J51" s="136"/>
      <c r="K51" s="136">
        <f>F51-469.9</f>
        <v>154.10000000000002</v>
      </c>
      <c r="L51" s="138">
        <f>F51/469.9*100</f>
        <v>132.794211534369</v>
      </c>
      <c r="M51" s="35">
        <f>E51-червень!E51</f>
        <v>0</v>
      </c>
      <c r="N51" s="35">
        <f>F51-червень!F51</f>
        <v>46.60000000000002</v>
      </c>
      <c r="O51" s="138">
        <f t="shared" si="3"/>
        <v>46.60000000000002</v>
      </c>
      <c r="P51" s="136"/>
      <c r="Q51" s="50">
        <f>N51-64.93</f>
        <v>-18.329999999999984</v>
      </c>
      <c r="R51" s="126">
        <f>N51/64.93</f>
        <v>0.7176959802864626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6.52</v>
      </c>
      <c r="G53" s="43">
        <f t="shared" si="0"/>
        <v>-8.48</v>
      </c>
      <c r="H53" s="35">
        <f>F53/E53*100</f>
        <v>43.46666666666666</v>
      </c>
      <c r="I53" s="50">
        <f t="shared" si="1"/>
        <v>-19.98</v>
      </c>
      <c r="J53" s="50">
        <f>F53/D53*100</f>
        <v>24.603773584905657</v>
      </c>
      <c r="K53" s="50">
        <f>F53-15.43</f>
        <v>-8.91</v>
      </c>
      <c r="L53" s="50">
        <f>F53/15.43*100</f>
        <v>42.255346727154894</v>
      </c>
      <c r="M53" s="35">
        <f>E53-червень!E53</f>
        <v>2.1999999999999993</v>
      </c>
      <c r="N53" s="35">
        <f>F53-червень!F53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E54-червень!E54</f>
        <v>0</v>
      </c>
      <c r="N54" s="35">
        <f>F54-червень!F54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335538.39999999997</v>
      </c>
      <c r="F55" s="18">
        <f>F8+F33+F53+F54</f>
        <v>337915.12000000005</v>
      </c>
      <c r="G55" s="44">
        <f>F55-E55</f>
        <v>2376.7200000000885</v>
      </c>
      <c r="H55" s="45">
        <f>F55/E55*100</f>
        <v>100.70833025370571</v>
      </c>
      <c r="I55" s="31">
        <f>F55-D55</f>
        <v>-192107.47999999992</v>
      </c>
      <c r="J55" s="31">
        <f>F55/D55*100</f>
        <v>63.754851208231514</v>
      </c>
      <c r="K55" s="31">
        <f>K8+K33+K53+K54</f>
        <v>53145.984</v>
      </c>
      <c r="L55" s="31">
        <f>F55/(F55-K55)*100</f>
        <v>118.66283149449173</v>
      </c>
      <c r="M55" s="18">
        <f>M8+M33+M53+M54</f>
        <v>47811.7</v>
      </c>
      <c r="N55" s="18">
        <f>N8+N33+N53+N54</f>
        <v>16916.464999999982</v>
      </c>
      <c r="O55" s="49">
        <f>N55-M55</f>
        <v>-30895.235000000015</v>
      </c>
      <c r="P55" s="31">
        <f>N55/M55*100</f>
        <v>35.38143383314122</v>
      </c>
      <c r="Q55" s="31">
        <f>N55-34768</f>
        <v>-17851.535000000018</v>
      </c>
      <c r="R55" s="171">
        <f>N55/34768</f>
        <v>0.48655272089277446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-38.32</v>
      </c>
      <c r="G61" s="43">
        <f aca="true" t="shared" si="8" ref="G61:G68">F61-E61</f>
        <v>-38.32</v>
      </c>
      <c r="H61" s="35"/>
      <c r="I61" s="53">
        <f aca="true" t="shared" si="9" ref="I61:I68">F61-D61</f>
        <v>-38.32</v>
      </c>
      <c r="J61" s="53"/>
      <c r="K61" s="47">
        <f>F61-183.34</f>
        <v>-221.66</v>
      </c>
      <c r="L61" s="53"/>
      <c r="M61" s="35">
        <v>0</v>
      </c>
      <c r="N61" s="36">
        <f>F61-червень!F61</f>
        <v>-7.280000000000001</v>
      </c>
      <c r="O61" s="47">
        <f aca="true" t="shared" si="10" ref="O61:O68">N61-M61</f>
        <v>-7.280000000000001</v>
      </c>
      <c r="P61" s="53"/>
      <c r="Q61" s="53">
        <f>N61-24.53</f>
        <v>-31.810000000000002</v>
      </c>
      <c r="R61" s="129">
        <f>N61/24.53</f>
        <v>-0.29677945373012643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-38.32</v>
      </c>
      <c r="G62" s="55">
        <f t="shared" si="8"/>
        <v>-38.32</v>
      </c>
      <c r="H62" s="65"/>
      <c r="I62" s="54">
        <f t="shared" si="9"/>
        <v>-38.32</v>
      </c>
      <c r="J62" s="54"/>
      <c r="K62" s="54">
        <f>K60+K61</f>
        <v>-220.52</v>
      </c>
      <c r="L62" s="54"/>
      <c r="M62" s="55">
        <f>M61</f>
        <v>0</v>
      </c>
      <c r="N62" s="33">
        <f>SUM(N60:N61)</f>
        <v>-7.280000000000001</v>
      </c>
      <c r="O62" s="54">
        <f t="shared" si="10"/>
        <v>-7.280000000000001</v>
      </c>
      <c r="P62" s="54"/>
      <c r="Q62" s="54">
        <f>N62-92.85</f>
        <v>-100.13</v>
      </c>
      <c r="R62" s="130">
        <f>N62/92.85</f>
        <v>-0.0784060312331718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534.7</v>
      </c>
      <c r="G64" s="43">
        <f t="shared" si="8"/>
        <v>134.70000000000005</v>
      </c>
      <c r="H64" s="35"/>
      <c r="I64" s="53">
        <f t="shared" si="9"/>
        <v>-1965.3</v>
      </c>
      <c r="J64" s="53">
        <f t="shared" si="11"/>
        <v>21.388</v>
      </c>
      <c r="K64" s="53">
        <f>F64-1678.13</f>
        <v>-1143.43</v>
      </c>
      <c r="L64" s="53">
        <f>F64/1678.13*100</f>
        <v>31.86284733602284</v>
      </c>
      <c r="M64" s="35">
        <f>E64-червень!E64</f>
        <v>0</v>
      </c>
      <c r="N64" s="35">
        <f>F64-червень!F64</f>
        <v>340.70000000000005</v>
      </c>
      <c r="O64" s="47">
        <f t="shared" si="10"/>
        <v>340.70000000000005</v>
      </c>
      <c r="P64" s="53"/>
      <c r="Q64" s="53">
        <f>N64-0.04</f>
        <v>340.66</v>
      </c>
      <c r="R64" s="129">
        <f>N64/0.04</f>
        <v>8517.500000000002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3262.83</v>
      </c>
      <c r="G65" s="43">
        <f t="shared" si="8"/>
        <v>-449.9300000000003</v>
      </c>
      <c r="H65" s="35">
        <f>F65/E65*100</f>
        <v>87.88152210215581</v>
      </c>
      <c r="I65" s="53">
        <f t="shared" si="9"/>
        <v>-8313.17</v>
      </c>
      <c r="J65" s="53">
        <f t="shared" si="11"/>
        <v>28.186161022805805</v>
      </c>
      <c r="K65" s="53">
        <f>F65-2235.97</f>
        <v>1026.8600000000001</v>
      </c>
      <c r="L65" s="53">
        <f>F65/2235.97*100</f>
        <v>145.92458753918882</v>
      </c>
      <c r="M65" s="35">
        <f>E65-червень!E65</f>
        <v>1213.0600000000004</v>
      </c>
      <c r="N65" s="35">
        <f>F65-червень!F65</f>
        <v>5.7599999999997635</v>
      </c>
      <c r="O65" s="47">
        <f t="shared" si="10"/>
        <v>-1207.3000000000006</v>
      </c>
      <c r="P65" s="53">
        <f>N65/M65*100</f>
        <v>0.4748322424282197</v>
      </c>
      <c r="Q65" s="53">
        <f>N65-450.01</f>
        <v>-444.2500000000002</v>
      </c>
      <c r="R65" s="129">
        <f>N65/450.01</f>
        <v>0.012799715561875877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1818.42</v>
      </c>
      <c r="G66" s="43">
        <f t="shared" si="8"/>
        <v>929.82</v>
      </c>
      <c r="H66" s="35">
        <f>F66/E66*100</f>
        <v>204.6387575962188</v>
      </c>
      <c r="I66" s="53">
        <f t="shared" si="9"/>
        <v>-1181.58</v>
      </c>
      <c r="J66" s="53">
        <f t="shared" si="11"/>
        <v>60.614000000000004</v>
      </c>
      <c r="K66" s="53">
        <f>F66-764.22</f>
        <v>1054.2</v>
      </c>
      <c r="L66" s="53">
        <f>F66/764.22*100</f>
        <v>237.94457093507106</v>
      </c>
      <c r="M66" s="35">
        <f>E66-червень!E66</f>
        <v>148.10000000000002</v>
      </c>
      <c r="N66" s="35">
        <f>F66-червень!F66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5615.95</v>
      </c>
      <c r="G67" s="55">
        <f t="shared" si="8"/>
        <v>614.5899999999992</v>
      </c>
      <c r="H67" s="65">
        <f>F67/E67*100</f>
        <v>112.28845753954924</v>
      </c>
      <c r="I67" s="54">
        <f t="shared" si="9"/>
        <v>-11460.05</v>
      </c>
      <c r="J67" s="54">
        <f t="shared" si="11"/>
        <v>32.88797142187866</v>
      </c>
      <c r="K67" s="54">
        <f>K64+K65+K66</f>
        <v>937.6300000000001</v>
      </c>
      <c r="L67" s="54"/>
      <c r="M67" s="55">
        <f>M64+M65+M66</f>
        <v>1361.1600000000003</v>
      </c>
      <c r="N67" s="55">
        <f>N64+N65+N66</f>
        <v>346.4599999999998</v>
      </c>
      <c r="O67" s="54">
        <f t="shared" si="10"/>
        <v>-1014.7000000000005</v>
      </c>
      <c r="P67" s="54">
        <f>N67/M67*100</f>
        <v>25.453289841017934</v>
      </c>
      <c r="Q67" s="54">
        <f>N67-7985.28</f>
        <v>-7638.82</v>
      </c>
      <c r="R67" s="173">
        <f>N67/7985.28</f>
        <v>0.043387332692153543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E68-червень!E68</f>
        <v>0</v>
      </c>
      <c r="N68" s="35">
        <f>F68-червень!F68</f>
        <v>0</v>
      </c>
      <c r="O68" s="47">
        <f t="shared" si="10"/>
        <v>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F70-0.52</f>
        <v>0.54</v>
      </c>
      <c r="L70" s="53">
        <f>F70/0.52*100</f>
        <v>203.84615384615384</v>
      </c>
      <c r="M70" s="35">
        <f>E70-червень!E70</f>
        <v>0</v>
      </c>
      <c r="N70" s="35">
        <f>F70-червень!F70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1.06</v>
      </c>
      <c r="G71" s="55">
        <f>F71-E71</f>
        <v>-24.94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-33.11</v>
      </c>
      <c r="L71" s="54"/>
      <c r="M71" s="55">
        <f>M68+M70+M69</f>
        <v>2</v>
      </c>
      <c r="N71" s="55">
        <f>N68+N70+N69</f>
        <v>0</v>
      </c>
      <c r="O71" s="54">
        <f>N71-M71</f>
        <v>-2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19.94</v>
      </c>
      <c r="G72" s="43">
        <f>F72-E72</f>
        <v>-3.049999999999997</v>
      </c>
      <c r="H72" s="35">
        <f>F72/E72*100</f>
        <v>86.73336233144848</v>
      </c>
      <c r="I72" s="53">
        <f>F72-D72</f>
        <v>-22.06</v>
      </c>
      <c r="J72" s="53">
        <f>F72/D72*100</f>
        <v>47.476190476190474</v>
      </c>
      <c r="K72" s="53">
        <f>F72-22.4</f>
        <v>-2.4599999999999973</v>
      </c>
      <c r="L72" s="53">
        <f>F72/22.4*100</f>
        <v>89.01785714285715</v>
      </c>
      <c r="M72" s="35">
        <f>E72-червень!E72</f>
        <v>1.1999999999999993</v>
      </c>
      <c r="N72" s="35">
        <f>F72-червень!F72</f>
        <v>0</v>
      </c>
      <c r="O72" s="47">
        <f>N72-M72</f>
        <v>-1.1999999999999993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5598.83</v>
      </c>
      <c r="G74" s="44">
        <f>F74-E74</f>
        <v>548.4799999999996</v>
      </c>
      <c r="H74" s="45">
        <f>F74/E74*100</f>
        <v>110.86023740928846</v>
      </c>
      <c r="I74" s="31">
        <f>F74-D74</f>
        <v>-11573.17</v>
      </c>
      <c r="J74" s="31">
        <f>F74/D74*100</f>
        <v>32.60441416259026</v>
      </c>
      <c r="K74" s="31">
        <f>K62+K67+K71+K72</f>
        <v>681.5400000000001</v>
      </c>
      <c r="L74" s="31"/>
      <c r="M74" s="27">
        <f>M62+M72+M67+M71</f>
        <v>1364.3600000000004</v>
      </c>
      <c r="N74" s="27">
        <f>N62+N72+N67+N71+N73</f>
        <v>339.17999999999984</v>
      </c>
      <c r="O74" s="31">
        <f>N74-M74</f>
        <v>-1025.1800000000005</v>
      </c>
      <c r="P74" s="31">
        <f>N74/M74*100</f>
        <v>24.860007622621577</v>
      </c>
      <c r="Q74" s="31">
        <f>N74-8104.96</f>
        <v>-7765.780000000001</v>
      </c>
      <c r="R74" s="127">
        <f>N74/8104.96</f>
        <v>0.04184844835754894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340588.74999999994</v>
      </c>
      <c r="F75" s="27">
        <f>F55+F74</f>
        <v>343513.95000000007</v>
      </c>
      <c r="G75" s="44">
        <f>F75-E75</f>
        <v>2925.200000000128</v>
      </c>
      <c r="H75" s="45">
        <f>F75/E75*100</f>
        <v>100.85886571414943</v>
      </c>
      <c r="I75" s="31">
        <f>F75-D75</f>
        <v>-203680.6499999999</v>
      </c>
      <c r="J75" s="31">
        <f>F75/D75*100</f>
        <v>62.777291661869484</v>
      </c>
      <c r="K75" s="31">
        <f>K55+K74</f>
        <v>53827.524</v>
      </c>
      <c r="L75" s="31">
        <f>F75/(F75-K75)*100</f>
        <v>118.58130694739557</v>
      </c>
      <c r="M75" s="18">
        <f>M55+M74</f>
        <v>49176.06</v>
      </c>
      <c r="N75" s="18">
        <f>N55+N74</f>
        <v>17255.644999999982</v>
      </c>
      <c r="O75" s="31">
        <f>N75-M75</f>
        <v>-31920.415000000015</v>
      </c>
      <c r="P75" s="31">
        <f>N75/M75*100</f>
        <v>35.08952323549301</v>
      </c>
      <c r="Q75" s="31">
        <f>N75-42872.96</f>
        <v>-25617.315000000017</v>
      </c>
      <c r="R75" s="127">
        <f>N75/42872.96</f>
        <v>0.40248317354341717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16</v>
      </c>
      <c r="D77" s="4" t="s">
        <v>118</v>
      </c>
    </row>
    <row r="78" spans="2:17" ht="31.5">
      <c r="B78" s="71" t="s">
        <v>154</v>
      </c>
      <c r="C78" s="34">
        <f>IF(O55&lt;0,ABS(O55/C77),0)</f>
        <v>1930.952187500001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42194</v>
      </c>
      <c r="D79" s="34">
        <v>1697.6</v>
      </c>
      <c r="N79" s="232"/>
      <c r="O79" s="232"/>
    </row>
    <row r="80" spans="3:15" ht="15.75">
      <c r="C80" s="111">
        <v>42193</v>
      </c>
      <c r="D80" s="34">
        <v>1620.6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42192</v>
      </c>
      <c r="D81" s="34">
        <v>4775.2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3:13" ht="15.75" customHeight="1">
      <c r="C82" s="111"/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150876.03981000002</v>
      </c>
      <c r="E83" s="73"/>
      <c r="F83" s="156" t="s">
        <v>147</v>
      </c>
      <c r="G83" s="238" t="s">
        <v>149</v>
      </c>
      <c r="H83" s="238"/>
      <c r="I83" s="107">
        <v>141966.3076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277</v>
      </c>
      <c r="N3" s="218" t="s">
        <v>278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279</v>
      </c>
      <c r="F4" s="223" t="s">
        <v>116</v>
      </c>
      <c r="G4" s="225" t="s">
        <v>275</v>
      </c>
      <c r="H4" s="227" t="s">
        <v>276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281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288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18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71820.961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143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144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168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169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19161.13100000001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169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14793.516000000007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144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F22-130.74</f>
        <v>4826.363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168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144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144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18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81348.411</v>
      </c>
      <c r="L55" s="31">
        <f>F55/(F55-K55)*100</f>
        <v>133.9446393386522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7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81886.101</v>
      </c>
      <c r="L75" s="31">
        <f>F75/(F75-K75)*100</f>
        <v>133.50876231406414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2"/>
      <c r="O79" s="232"/>
    </row>
    <row r="80" spans="3:15" ht="15.75">
      <c r="C80" s="111">
        <v>42181</v>
      </c>
      <c r="D80" s="34">
        <v>8722.4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42180</v>
      </c>
      <c r="D81" s="34">
        <v>4146.6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3:13" ht="15.75" customHeight="1">
      <c r="C82" s="111"/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152943.93305000002</v>
      </c>
      <c r="E83" s="73"/>
      <c r="F83" s="156" t="s">
        <v>147</v>
      </c>
      <c r="G83" s="238" t="s">
        <v>149</v>
      </c>
      <c r="H83" s="238"/>
      <c r="I83" s="107">
        <v>144034.20084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52" sqref="H5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266</v>
      </c>
      <c r="N3" s="218" t="s">
        <v>267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262</v>
      </c>
      <c r="F4" s="223" t="s">
        <v>116</v>
      </c>
      <c r="G4" s="225" t="s">
        <v>263</v>
      </c>
      <c r="H4" s="227" t="s">
        <v>264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273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42151</v>
      </c>
      <c r="D81" s="34">
        <v>3158.7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153606.78</v>
      </c>
      <c r="E83" s="73"/>
      <c r="F83" s="156" t="s">
        <v>147</v>
      </c>
      <c r="G83" s="238" t="s">
        <v>149</v>
      </c>
      <c r="H83" s="238"/>
      <c r="I83" s="107">
        <v>144697.05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5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76" sqref="F7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240</v>
      </c>
      <c r="N3" s="218" t="s">
        <v>241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237</v>
      </c>
      <c r="F4" s="247" t="s">
        <v>116</v>
      </c>
      <c r="G4" s="225" t="s">
        <v>238</v>
      </c>
      <c r="H4" s="227" t="s">
        <v>239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260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8"/>
      <c r="G5" s="226"/>
      <c r="H5" s="228"/>
      <c r="I5" s="230"/>
      <c r="J5" s="217"/>
      <c r="K5" s="221" t="s">
        <v>242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1"/>
      <c r="H103" s="231"/>
      <c r="I103" s="231"/>
      <c r="J103" s="23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33"/>
      <c r="H105" s="233"/>
      <c r="I105" s="177"/>
      <c r="J105" s="234"/>
      <c r="K105" s="234"/>
      <c r="L105" s="234"/>
      <c r="M105" s="234"/>
      <c r="N105" s="232"/>
      <c r="O105" s="232"/>
    </row>
    <row r="106" spans="3:15" ht="15.75" customHeight="1">
      <c r="C106" s="111">
        <v>42122</v>
      </c>
      <c r="D106" s="34">
        <v>4962.7</v>
      </c>
      <c r="G106" s="238" t="s">
        <v>151</v>
      </c>
      <c r="H106" s="238"/>
      <c r="I106" s="106">
        <v>8909.73221</v>
      </c>
      <c r="J106" s="239"/>
      <c r="K106" s="239"/>
      <c r="L106" s="239"/>
      <c r="M106" s="239"/>
      <c r="N106" s="232"/>
      <c r="O106" s="232"/>
    </row>
    <row r="107" spans="7:13" ht="15.75" customHeight="1">
      <c r="G107" s="240" t="s">
        <v>234</v>
      </c>
      <c r="H107" s="241"/>
      <c r="I107" s="103">
        <v>0</v>
      </c>
      <c r="J107" s="234"/>
      <c r="K107" s="234"/>
      <c r="L107" s="234"/>
      <c r="M107" s="234"/>
    </row>
    <row r="108" spans="2:13" ht="18.75" customHeight="1">
      <c r="B108" s="242" t="s">
        <v>160</v>
      </c>
      <c r="C108" s="243"/>
      <c r="D108" s="108">
        <v>154856.06924</v>
      </c>
      <c r="E108" s="73"/>
      <c r="F108" s="202" t="s">
        <v>147</v>
      </c>
      <c r="G108" s="238" t="s">
        <v>149</v>
      </c>
      <c r="H108" s="238"/>
      <c r="I108" s="107">
        <v>145946.33703</v>
      </c>
      <c r="J108" s="234"/>
      <c r="K108" s="234"/>
      <c r="L108" s="234"/>
      <c r="M108" s="234"/>
    </row>
    <row r="109" spans="7:12" ht="9.75" customHeight="1">
      <c r="G109" s="233"/>
      <c r="H109" s="233"/>
      <c r="I109" s="90"/>
      <c r="J109" s="91"/>
      <c r="K109" s="91"/>
      <c r="L109" s="91"/>
    </row>
    <row r="110" spans="2:12" ht="22.5" customHeight="1" hidden="1">
      <c r="B110" s="244" t="s">
        <v>167</v>
      </c>
      <c r="C110" s="245"/>
      <c r="D110" s="110">
        <v>0</v>
      </c>
      <c r="E110" s="70" t="s">
        <v>104</v>
      </c>
      <c r="G110" s="233"/>
      <c r="H110" s="233"/>
      <c r="I110" s="90"/>
      <c r="J110" s="91"/>
      <c r="K110" s="91"/>
      <c r="L110" s="91"/>
    </row>
    <row r="111" spans="4:15" ht="15.75">
      <c r="D111" s="105"/>
      <c r="N111" s="233"/>
      <c r="O111" s="233"/>
    </row>
    <row r="112" spans="4:15" ht="15.75">
      <c r="D112" s="104"/>
      <c r="I112" s="34"/>
      <c r="N112" s="246"/>
      <c r="O112" s="246"/>
    </row>
    <row r="113" spans="14:15" ht="15.75">
      <c r="N113" s="233"/>
      <c r="O113" s="23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231</v>
      </c>
      <c r="N3" s="218" t="s">
        <v>232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228</v>
      </c>
      <c r="F4" s="223" t="s">
        <v>116</v>
      </c>
      <c r="G4" s="225" t="s">
        <v>229</v>
      </c>
      <c r="H4" s="227" t="s">
        <v>230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236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233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42090</v>
      </c>
      <c r="D107" s="34">
        <v>4282.6</v>
      </c>
      <c r="G107" s="238" t="s">
        <v>151</v>
      </c>
      <c r="H107" s="238"/>
      <c r="I107" s="106">
        <f>8909732.21/1000</f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0" t="s">
        <v>234</v>
      </c>
      <c r="H108" s="241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147433239.77/1000</f>
        <v>147433.23977000001</v>
      </c>
      <c r="E109" s="73"/>
      <c r="F109" s="156" t="s">
        <v>147</v>
      </c>
      <c r="G109" s="238" t="s">
        <v>149</v>
      </c>
      <c r="H109" s="238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221</v>
      </c>
      <c r="N3" s="218" t="s">
        <v>202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199</v>
      </c>
      <c r="F4" s="223" t="s">
        <v>116</v>
      </c>
      <c r="G4" s="225" t="s">
        <v>200</v>
      </c>
      <c r="H4" s="227" t="s">
        <v>201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226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224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42060</v>
      </c>
      <c r="D107" s="34">
        <v>1551.3</v>
      </c>
      <c r="G107" s="238" t="s">
        <v>151</v>
      </c>
      <c r="H107" s="238"/>
      <c r="I107" s="106"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9" t="s">
        <v>155</v>
      </c>
      <c r="H108" s="249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138305956.27/1000</f>
        <v>138305.95627000002</v>
      </c>
      <c r="E109" s="73"/>
      <c r="F109" s="156" t="s">
        <v>147</v>
      </c>
      <c r="G109" s="238" t="s">
        <v>149</v>
      </c>
      <c r="H109" s="238"/>
      <c r="I109" s="107">
        <v>129396.23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220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219</v>
      </c>
      <c r="F4" s="223" t="s">
        <v>116</v>
      </c>
      <c r="G4" s="225" t="s">
        <v>173</v>
      </c>
      <c r="H4" s="256" t="s">
        <v>174</v>
      </c>
      <c r="I4" s="254" t="s">
        <v>217</v>
      </c>
      <c r="J4" s="252" t="s">
        <v>218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1"/>
      <c r="H102" s="231"/>
      <c r="I102" s="231"/>
      <c r="J102" s="23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38" t="s">
        <v>151</v>
      </c>
      <c r="H104" s="238"/>
      <c r="I104" s="106">
        <f>'січень '!I139</f>
        <v>8909.733</v>
      </c>
      <c r="J104" s="250" t="s">
        <v>161</v>
      </c>
      <c r="K104" s="250"/>
      <c r="L104" s="250"/>
      <c r="M104" s="250"/>
      <c r="N104" s="232"/>
      <c r="O104" s="232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1" t="s">
        <v>162</v>
      </c>
      <c r="K105" s="251"/>
      <c r="L105" s="251"/>
      <c r="M105" s="251"/>
      <c r="N105" s="232"/>
      <c r="O105" s="232"/>
    </row>
    <row r="106" spans="7:13" ht="15.75" customHeight="1">
      <c r="G106" s="238" t="s">
        <v>148</v>
      </c>
      <c r="H106" s="238"/>
      <c r="I106" s="103">
        <f>'січень '!I141</f>
        <v>0</v>
      </c>
      <c r="J106" s="250" t="s">
        <v>163</v>
      </c>
      <c r="K106" s="250"/>
      <c r="L106" s="250"/>
      <c r="M106" s="250"/>
    </row>
    <row r="107" spans="2:13" ht="18.75" customHeight="1">
      <c r="B107" s="242" t="s">
        <v>160</v>
      </c>
      <c r="C107" s="243"/>
      <c r="D107" s="108">
        <f>'січень '!D142</f>
        <v>132375.63</v>
      </c>
      <c r="E107" s="73"/>
      <c r="F107" s="156" t="s">
        <v>147</v>
      </c>
      <c r="G107" s="238" t="s">
        <v>149</v>
      </c>
      <c r="H107" s="238"/>
      <c r="I107" s="107">
        <f>'січень '!I142</f>
        <v>123465.893</v>
      </c>
      <c r="J107" s="250" t="s">
        <v>164</v>
      </c>
      <c r="K107" s="250"/>
      <c r="L107" s="250"/>
      <c r="M107" s="250"/>
    </row>
    <row r="108" spans="7:12" ht="9.75" customHeight="1">
      <c r="G108" s="233"/>
      <c r="H108" s="233"/>
      <c r="I108" s="90"/>
      <c r="J108" s="91"/>
      <c r="K108" s="91"/>
      <c r="L108" s="91"/>
    </row>
    <row r="109" spans="2:12" ht="22.5" customHeight="1" hidden="1">
      <c r="B109" s="244" t="s">
        <v>167</v>
      </c>
      <c r="C109" s="245"/>
      <c r="D109" s="110">
        <v>0</v>
      </c>
      <c r="E109" s="70" t="s">
        <v>104</v>
      </c>
      <c r="G109" s="233"/>
      <c r="H109" s="233"/>
      <c r="I109" s="90"/>
      <c r="J109" s="91"/>
      <c r="K109" s="91"/>
      <c r="L109" s="91"/>
    </row>
    <row r="110" spans="4:15" ht="15.75">
      <c r="D110" s="105"/>
      <c r="N110" s="233"/>
      <c r="O110" s="233"/>
    </row>
    <row r="111" spans="4:15" ht="15.75">
      <c r="D111" s="104"/>
      <c r="I111" s="34"/>
      <c r="N111" s="246"/>
      <c r="O111" s="246"/>
    </row>
    <row r="112" spans="14:15" ht="15.75">
      <c r="N112" s="233"/>
      <c r="O112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1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203</v>
      </c>
      <c r="C3" s="210" t="s">
        <v>0</v>
      </c>
      <c r="D3" s="211" t="s">
        <v>190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187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153</v>
      </c>
      <c r="F4" s="223" t="s">
        <v>116</v>
      </c>
      <c r="G4" s="225" t="s">
        <v>173</v>
      </c>
      <c r="H4" s="256" t="s">
        <v>174</v>
      </c>
      <c r="I4" s="254" t="s">
        <v>186</v>
      </c>
      <c r="J4" s="252" t="s">
        <v>189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1"/>
      <c r="H137" s="231"/>
      <c r="I137" s="231"/>
      <c r="J137" s="23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38" t="s">
        <v>151</v>
      </c>
      <c r="H139" s="238"/>
      <c r="I139" s="106">
        <f>8909.733</f>
        <v>8909.733</v>
      </c>
      <c r="J139" s="250" t="s">
        <v>161</v>
      </c>
      <c r="K139" s="250"/>
      <c r="L139" s="250"/>
      <c r="M139" s="250"/>
      <c r="N139" s="232"/>
      <c r="O139" s="232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1" t="s">
        <v>162</v>
      </c>
      <c r="K140" s="251"/>
      <c r="L140" s="251"/>
      <c r="M140" s="251"/>
      <c r="N140" s="232"/>
      <c r="O140" s="232"/>
    </row>
    <row r="141" spans="7:13" ht="15.75" customHeight="1">
      <c r="G141" s="238" t="s">
        <v>148</v>
      </c>
      <c r="H141" s="238"/>
      <c r="I141" s="103">
        <v>0</v>
      </c>
      <c r="J141" s="250" t="s">
        <v>163</v>
      </c>
      <c r="K141" s="250"/>
      <c r="L141" s="250"/>
      <c r="M141" s="250"/>
    </row>
    <row r="142" spans="2:13" ht="18.75" customHeight="1">
      <c r="B142" s="242" t="s">
        <v>160</v>
      </c>
      <c r="C142" s="243"/>
      <c r="D142" s="108">
        <f>132375.63</f>
        <v>132375.63</v>
      </c>
      <c r="E142" s="73"/>
      <c r="F142" s="156" t="s">
        <v>147</v>
      </c>
      <c r="G142" s="238" t="s">
        <v>149</v>
      </c>
      <c r="H142" s="238"/>
      <c r="I142" s="107">
        <f>123465.893</f>
        <v>123465.893</v>
      </c>
      <c r="J142" s="250" t="s">
        <v>164</v>
      </c>
      <c r="K142" s="250"/>
      <c r="L142" s="250"/>
      <c r="M142" s="250"/>
    </row>
    <row r="143" spans="7:12" ht="9.75" customHeight="1">
      <c r="G143" s="233"/>
      <c r="H143" s="233"/>
      <c r="I143" s="90"/>
      <c r="J143" s="91"/>
      <c r="K143" s="91"/>
      <c r="L143" s="91"/>
    </row>
    <row r="144" spans="2:12" ht="22.5" customHeight="1" hidden="1">
      <c r="B144" s="244" t="s">
        <v>167</v>
      </c>
      <c r="C144" s="245"/>
      <c r="D144" s="110">
        <v>0</v>
      </c>
      <c r="E144" s="70" t="s">
        <v>104</v>
      </c>
      <c r="G144" s="233"/>
      <c r="H144" s="233"/>
      <c r="I144" s="90"/>
      <c r="J144" s="91"/>
      <c r="K144" s="91"/>
      <c r="L144" s="91"/>
    </row>
    <row r="145" spans="4:15" ht="15.75">
      <c r="D145" s="105"/>
      <c r="N145" s="233"/>
      <c r="O145" s="233"/>
    </row>
    <row r="146" spans="4:15" ht="15.75">
      <c r="D146" s="104"/>
      <c r="I146" s="34"/>
      <c r="N146" s="246"/>
      <c r="O146" s="246"/>
    </row>
    <row r="147" spans="14:15" ht="15.75">
      <c r="N147" s="233"/>
      <c r="O147" s="23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2015-07-10T12:06:05Z</cp:lastPrinted>
  <dcterms:created xsi:type="dcterms:W3CDTF">2003-07-28T11:27:56Z</dcterms:created>
  <dcterms:modified xsi:type="dcterms:W3CDTF">2015-07-10T12:13:30Z</dcterms:modified>
  <cp:category/>
  <cp:version/>
  <cp:contentType/>
  <cp:contentStatus/>
</cp:coreProperties>
</file>